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215\"/>
    </mc:Choice>
  </mc:AlternateContent>
  <xr:revisionPtr revIDLastSave="0" documentId="13_ncr:1_{46FD3628-5A0A-424B-B91C-39B978620BDE}" xr6:coauthVersionLast="47" xr6:coauthVersionMax="47" xr10:uidLastSave="{00000000-0000-0000-0000-000000000000}"/>
  <bookViews>
    <workbookView xWindow="28680" yWindow="-120" windowWidth="29040" windowHeight="15720" activeTab="2" xr2:uid="{6CE20DA6-4573-461D-B2D0-DC5752BCA452}"/>
  </bookViews>
  <sheets>
    <sheet name="Table1" sheetId="2" r:id="rId1"/>
    <sheet name="Sheet1" sheetId="1" r:id="rId2"/>
    <sheet name="Sheet2" sheetId="3" r:id="rId3"/>
  </sheets>
  <definedNames>
    <definedName name="ExternalData_1" localSheetId="0" hidden="1">Table1!$A$1:$A$13</definedName>
    <definedName name="_xlnm.Print_Area" localSheetId="1">Sheet1!$A$1:$K$51</definedName>
    <definedName name="_xlnm.Print_Area" localSheetId="2">Sheet2!$A$1:$K$66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8" i="1" l="1"/>
  <c r="F33" i="1"/>
  <c r="P32" i="1"/>
  <c r="M32" i="1"/>
  <c r="C32" i="1" s="1"/>
  <c r="S38" i="1" s="1"/>
  <c r="P31" i="1" l="1"/>
  <c r="C31" i="1" s="1"/>
  <c r="O38" i="1" s="1"/>
  <c r="Q38" i="1"/>
  <c r="C33" i="1"/>
  <c r="U38" i="1" s="1"/>
  <c r="AG38" i="1" l="1"/>
  <c r="A38" i="1" s="1"/>
  <c r="X28" i="1" l="1"/>
  <c r="O15" i="1"/>
  <c r="M28" i="1" s="1"/>
  <c r="M27" i="1"/>
  <c r="M26" i="1"/>
  <c r="AB25" i="1"/>
  <c r="Z25" i="1"/>
  <c r="N25" i="1"/>
  <c r="A15" i="1"/>
  <c r="B5" i="3"/>
  <c r="B4" i="3"/>
  <c r="O14" i="1" l="1"/>
  <c r="A12" i="1"/>
  <c r="M14" i="1"/>
  <c r="M11" i="1"/>
  <c r="A11" i="1" s="1"/>
  <c r="L25" i="1" l="1"/>
  <c r="S27" i="1"/>
  <c r="S26" i="1"/>
  <c r="A14" i="1"/>
  <c r="T25" i="1" l="1"/>
  <c r="P25" i="1"/>
  <c r="R25" i="1" s="1"/>
  <c r="Q28" i="1" l="1"/>
  <c r="O28" i="1"/>
  <c r="V25" i="1"/>
  <c r="X25" i="1" s="1"/>
  <c r="B19" i="1" s="1"/>
  <c r="O27" i="1"/>
  <c r="O26" i="1"/>
  <c r="U28" i="1" l="1"/>
  <c r="Q27" i="1"/>
  <c r="Q26" i="1"/>
  <c r="A25" i="1"/>
  <c r="W28" i="1" l="1"/>
  <c r="I28" i="1" s="1"/>
  <c r="E26" i="1"/>
  <c r="R26" i="1"/>
  <c r="A26" i="1" s="1"/>
  <c r="R27" i="1"/>
  <c r="A27" i="1" s="1"/>
  <c r="E27" i="1"/>
  <c r="A28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4D6BFD-26F3-4BCC-8AC9-8EB23F77A432}" keepAlive="1" name="Query - Table1" description="Connection to the 'Table1' query in the workbook." type="5" refreshedVersion="8" background="1" saveData="1">
    <dbPr connection="Provider=Microsoft.Mashup.OleDb.1;Data Source=$Workbook$;Location=Table1;Extended Properties=&quot;&quot;" command="SELECT * FROM [Table1]"/>
  </connection>
</connections>
</file>

<file path=xl/sharedStrings.xml><?xml version="1.0" encoding="utf-8"?>
<sst xmlns="http://schemas.openxmlformats.org/spreadsheetml/2006/main" count="165" uniqueCount="115">
  <si>
    <t>PID:</t>
  </si>
  <si>
    <t>CRS:</t>
  </si>
  <si>
    <t>Element:</t>
  </si>
  <si>
    <t>Made By:</t>
  </si>
  <si>
    <t>Date:</t>
  </si>
  <si>
    <t>Chk'd By:</t>
  </si>
  <si>
    <t>Temporary AccessFill Calculations</t>
  </si>
  <si>
    <t>Calculations for determining Temporary Access Fill (TAF) culvert system</t>
  </si>
  <si>
    <t>OHWM:</t>
  </si>
  <si>
    <t>(plans)</t>
  </si>
  <si>
    <t xml:space="preserve">Top of TAF: </t>
  </si>
  <si>
    <t xml:space="preserve">Minimum flow to be maintained: </t>
  </si>
  <si>
    <t>Given:</t>
  </si>
  <si>
    <t>Month:</t>
  </si>
  <si>
    <t>March</t>
  </si>
  <si>
    <t xml:space="preserve"> cfs (2x highest monthly average (</t>
  </si>
  <si>
    <t>) from SteamStats (See Table 1)</t>
  </si>
  <si>
    <t xml:space="preserve">Maximum mean monthly flow: </t>
  </si>
  <si>
    <t xml:space="preserve"> cfs</t>
  </si>
  <si>
    <t>January</t>
  </si>
  <si>
    <t>February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</si>
  <si>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</si>
  <si>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</si>
  <si>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</si>
  <si>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</si>
  <si>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</si>
  <si>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</si>
  <si>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</si>
  <si>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</si>
  <si>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</si>
  <si>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Sheet</t>
  </si>
  <si>
    <t>of</t>
  </si>
  <si>
    <t>n</t>
  </si>
  <si>
    <t>Clean and Straight</t>
  </si>
  <si>
    <t>Natural Streams</t>
  </si>
  <si>
    <t>Major Rivers</t>
  </si>
  <si>
    <t>Sluggish with deep pools</t>
  </si>
  <si>
    <t>Brass</t>
  </si>
  <si>
    <t>Cast Iron</t>
  </si>
  <si>
    <t>Smooth Steel</t>
  </si>
  <si>
    <t>Corrugated Metal</t>
  </si>
  <si>
    <t>Gravelly</t>
  </si>
  <si>
    <t>Weedy</t>
  </si>
  <si>
    <t>Stony, Cobbles</t>
  </si>
  <si>
    <t>Pasture, Farmland</t>
  </si>
  <si>
    <t>Light Brush</t>
  </si>
  <si>
    <t>Heavy Brush</t>
  </si>
  <si>
    <t>Trees</t>
  </si>
  <si>
    <t>Metals</t>
  </si>
  <si>
    <t>Excavated Earth Channels</t>
  </si>
  <si>
    <t>Floodplains</t>
  </si>
  <si>
    <t>Column1</t>
  </si>
  <si>
    <t>Manning (n) for CMP:</t>
  </si>
  <si>
    <t>(See Table 2)</t>
  </si>
  <si>
    <t>ft/ft</t>
  </si>
  <si>
    <t>HOL-179-3.89</t>
  </si>
  <si>
    <t>Figure 1 – Culvert Hydraulic Tool Results for 24” CMP (From CDSS)</t>
  </si>
  <si>
    <t>Table 1 – StreamStats Monthly Average Flows</t>
  </si>
  <si>
    <t>Table 2 – Manning Values</t>
  </si>
  <si>
    <t xml:space="preserve">Maximum pipe size for TAF: </t>
  </si>
  <si>
    <t>Process Calculations</t>
  </si>
  <si>
    <t xml:space="preserve"> cfs/ </t>
  </si>
  <si>
    <t>Inputs from CDSS</t>
  </si>
  <si>
    <t>Qmax:</t>
  </si>
  <si>
    <t>Qfull:</t>
  </si>
  <si>
    <t>Design flow:</t>
  </si>
  <si>
    <t>Pipe Slope:</t>
  </si>
  <si>
    <t xml:space="preserve"> = </t>
  </si>
  <si>
    <t xml:space="preserve">, Use: </t>
  </si>
  <si>
    <t xml:space="preserve"> pipes. </t>
  </si>
  <si>
    <t xml:space="preserve"> cfs; Produces </t>
  </si>
  <si>
    <t xml:space="preserve"> cfs (Full)</t>
  </si>
  <si>
    <t xml:space="preserve"> cfs (Max.) &amp; </t>
  </si>
  <si>
    <t xml:space="preserve">Qmax: </t>
  </si>
  <si>
    <t xml:space="preserve"> x </t>
  </si>
  <si>
    <t xml:space="preserve">Qfull: </t>
  </si>
  <si>
    <t>Max. Stream Opening:</t>
  </si>
  <si>
    <t>ft</t>
  </si>
  <si>
    <t>Pipe Width: (</t>
  </si>
  <si>
    <t>" CMP</t>
  </si>
  <si>
    <t xml:space="preserve">" CMP or </t>
  </si>
  <si>
    <t xml:space="preserve"> CMP x </t>
  </si>
  <si>
    <t xml:space="preserve"> pipes (each)) + ( </t>
  </si>
  <si>
    <t xml:space="preserve"> spa. x </t>
  </si>
  <si>
    <t xml:space="preserve"> ft. clearance) = </t>
  </si>
  <si>
    <t xml:space="preserve"> ft </t>
  </si>
  <si>
    <t>OWHM Flow rate</t>
  </si>
  <si>
    <t xml:space="preserve"> / </t>
  </si>
  <si>
    <t>n (weighted):</t>
  </si>
  <si>
    <t>A (x-sect area):</t>
  </si>
  <si>
    <t>P (wetted perimeter):</t>
  </si>
  <si>
    <t>S (slope):</t>
  </si>
  <si>
    <t>Bank Slope:</t>
  </si>
  <si>
    <t>Base Width:</t>
  </si>
  <si>
    <t>:1</t>
  </si>
  <si>
    <t>Thalweg Elev:</t>
  </si>
  <si>
    <t>n(Bank)</t>
  </si>
  <si>
    <t>n(Channel)</t>
  </si>
  <si>
    <t>Top W =</t>
  </si>
  <si>
    <t>sq ft</t>
  </si>
  <si>
    <t>Slope width:</t>
  </si>
  <si>
    <t>D</t>
  </si>
  <si>
    <t>Depth (y):</t>
  </si>
  <si>
    <t>Slope length:</t>
  </si>
  <si>
    <t>n(Channel):</t>
  </si>
  <si>
    <t>n(bank):</t>
  </si>
  <si>
    <t>Q = (</t>
  </si>
  <si>
    <t>)(</t>
  </si>
  <si>
    <t>)^(</t>
  </si>
  <si>
    <t xml:space="preserve">) x </t>
  </si>
  <si>
    <t>^(</t>
  </si>
  <si>
    <t xml:space="preserve"> /</t>
  </si>
  <si>
    <t xml:space="preserve">) = </t>
  </si>
  <si>
    <t>Q = (1.486/n)A(A/P)^(2/3)xS^(1/2)</t>
  </si>
  <si>
    <t>MVC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</si>
</sst>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b/>
      <i/>
      <sz val="11"/>
      <color theme="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2" borderId="0" xfId="0" applyFill="1"/>
    <xf numFmtId="0" fontId="0" fillId="3" borderId="0" xfId="0" applyFill="1"/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0" fillId="4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textRotation="90" wrapText="1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 textRotation="90" wrapText="1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2" borderId="0" xfId="0" applyFill="1" applyAlignment="1"/>
    <xf numFmtId="14" fontId="0" fillId="2" borderId="0" xfId="0" applyNumberFormat="1" applyFill="1"/>
  </cellXfs>
  <cellStyles count="1"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numFmt numFmtId="0" formatCode="General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3</xdr:col>
      <xdr:colOff>59927</xdr:colOff>
      <xdr:row>2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1D7CD1-A885-4674-CF00-408DD77DD9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-166" r="-1401"/>
        <a:stretch/>
      </xdr:blipFill>
      <xdr:spPr bwMode="auto">
        <a:xfrm>
          <a:off x="1" y="2"/>
          <a:ext cx="2031601" cy="51434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3</xdr:col>
      <xdr:colOff>202802</xdr:colOff>
      <xdr:row>2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C6BD15-690A-4AD4-88BD-87BF95A6EA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-166" r="-1401"/>
        <a:stretch/>
      </xdr:blipFill>
      <xdr:spPr bwMode="auto">
        <a:xfrm>
          <a:off x="1" y="2"/>
          <a:ext cx="2031601" cy="51434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10</xdr:col>
      <xdr:colOff>140970</xdr:colOff>
      <xdr:row>40</xdr:row>
      <xdr:rowOff>154305</xdr:rowOff>
    </xdr:to>
    <xdr:pic>
      <xdr:nvPicPr>
        <xdr:cNvPr id="4" name="Picture 3" descr="Table&#10;&#10;Description automatically generated">
          <a:extLst>
            <a:ext uri="{FF2B5EF4-FFF2-40B4-BE49-F238E27FC236}">
              <a16:creationId xmlns:a16="http://schemas.microsoft.com/office/drawing/2014/main" id="{8097F5A4-E8B0-D3F9-B1C3-6EE375D7B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096000"/>
          <a:ext cx="6236970" cy="16783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9</xdr:col>
      <xdr:colOff>457200</xdr:colOff>
      <xdr:row>64</xdr:row>
      <xdr:rowOff>67945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BF0F0D2-4AED-CDF6-13EA-0A30CA363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8001000"/>
          <a:ext cx="5943600" cy="42589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6</xdr:col>
      <xdr:colOff>505406</xdr:colOff>
      <xdr:row>30</xdr:row>
      <xdr:rowOff>114901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A859B7E-9D75-EA85-2B26-981FB464A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524000"/>
          <a:ext cx="4163006" cy="4305901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CAA2FD9-B228-4B5B-BDC0-825A52723B20}" autoFormatId="16" applyNumberFormats="0" applyBorderFormats="0" applyFontFormats="0" applyPatternFormats="0" applyAlignmentFormats="0" applyWidthHeightFormats="0">
  <queryTableRefresh nextId="2">
    <queryTableFields count="1">
      <queryTableField id="1" name="Column1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14F19A5-D445-4604-8B5E-2E480C8119F8}" name="Table1_1" displayName="Table1_1" ref="A1:A13" tableType="queryTable" totalsRowShown="0">
  <autoFilter ref="A1:A13" xr:uid="{414F19A5-D445-4604-8B5E-2E480C8119F8}"/>
  <tableColumns count="1">
    <tableColumn id="1" xr3:uid="{134C2A8B-A44E-48F8-8EA4-5E5BAFC2787D}" uniqueName="1" name="Column1" queryTableFieldId="1" dataDxf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076216A-C455-4342-B1A1-278DFEABAAE7}" name="Table1" displayName="Table1" ref="A58:A70" totalsRowShown="0">
  <autoFilter ref="A58:A70" xr:uid="{E076216A-C455-4342-B1A1-278DFEABAAE7}"/>
  <tableColumns count="1">
    <tableColumn id="1" xr3:uid="{6350FD64-0046-47E5-9BB6-2360D8CC4514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E1EAB-CB5D-4A39-A2A0-EFC59098652D}">
  <dimension ref="A1:A13"/>
  <sheetViews>
    <sheetView workbookViewId="0">
      <selection activeCell="O18" sqref="O18"/>
    </sheetView>
  </sheetViews>
  <sheetFormatPr defaultRowHeight="15" x14ac:dyDescent="0.25"/>
  <cols>
    <col min="1" max="1" width="11.42578125" bestFit="1" customWidth="1"/>
  </cols>
  <sheetData>
    <row r="1" spans="1:1" x14ac:dyDescent="0.25">
      <c r="A1" t="s">
        <v>51</v>
      </c>
    </row>
    <row r="2" spans="1:1" x14ac:dyDescent="0.25">
      <c r="A2" t="s">
        <v>19</v>
      </c>
    </row>
    <row r="3" spans="1:1" x14ac:dyDescent="0.25">
      <c r="A3" t="s">
        <v>20</v>
      </c>
    </row>
    <row r="4" spans="1:1" x14ac:dyDescent="0.25">
      <c r="A4" t="s">
        <v>14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24</v>
      </c>
    </row>
    <row r="9" spans="1:1" x14ac:dyDescent="0.25">
      <c r="A9" t="s">
        <v>25</v>
      </c>
    </row>
    <row r="10" spans="1:1" x14ac:dyDescent="0.25">
      <c r="A10" t="s">
        <v>26</v>
      </c>
    </row>
    <row r="11" spans="1:1" x14ac:dyDescent="0.25">
      <c r="A11" t="s">
        <v>27</v>
      </c>
    </row>
    <row r="12" spans="1:1" x14ac:dyDescent="0.25">
      <c r="A12" t="s">
        <v>28</v>
      </c>
    </row>
    <row r="13" spans="1:1" x14ac:dyDescent="0.25">
      <c r="A13" t="s">
        <v>29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4117E-703F-45A0-AA79-A21EC53FB678}">
  <sheetPr>
    <pageSetUpPr fitToPage="1"/>
  </sheetPr>
  <dimension ref="A1:AH72"/>
  <sheetViews>
    <sheetView topLeftCell="A33" workbookViewId="0">
      <selection activeCell="K57" sqref="K57"/>
    </sheetView>
  </sheetViews>
  <sheetFormatPr defaultRowHeight="15" x14ac:dyDescent="0.25"/>
  <cols>
    <col min="1" max="1" width="11.28515625" customWidth="1"/>
    <col min="11" max="11" width="10.42578125" bestFit="1" customWidth="1"/>
  </cols>
  <sheetData>
    <row r="1" spans="1:16" x14ac:dyDescent="0.25">
      <c r="H1" t="s">
        <v>3</v>
      </c>
      <c r="I1" s="3" t="s">
        <v>114</v>
      </c>
      <c r="J1" t="s">
        <v>4</v>
      </c>
      <c r="K1" s="21">
        <v>45649</v>
      </c>
    </row>
    <row r="3" spans="1:16" x14ac:dyDescent="0.25">
      <c r="H3" t="s">
        <v>5</v>
      </c>
      <c r="I3" s="3"/>
      <c r="J3" t="s">
        <v>4</v>
      </c>
      <c r="K3" s="3"/>
    </row>
    <row r="4" spans="1:16" x14ac:dyDescent="0.25">
      <c r="A4" s="2" t="s">
        <v>1</v>
      </c>
      <c r="B4" s="3" t="s">
        <v>55</v>
      </c>
    </row>
    <row r="5" spans="1:16" x14ac:dyDescent="0.25">
      <c r="A5" s="2" t="s">
        <v>0</v>
      </c>
      <c r="B5" s="3">
        <v>111085</v>
      </c>
    </row>
    <row r="6" spans="1:16" x14ac:dyDescent="0.25">
      <c r="A6" s="2" t="s">
        <v>2</v>
      </c>
      <c r="B6" t="s">
        <v>6</v>
      </c>
      <c r="H6" s="1" t="s">
        <v>30</v>
      </c>
      <c r="I6">
        <v>1</v>
      </c>
      <c r="J6" s="8" t="s">
        <v>31</v>
      </c>
      <c r="K6">
        <v>2</v>
      </c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6" x14ac:dyDescent="0.25">
      <c r="A8" s="5" t="s">
        <v>7</v>
      </c>
    </row>
    <row r="9" spans="1:16" x14ac:dyDescent="0.25">
      <c r="A9" s="16" t="s">
        <v>12</v>
      </c>
    </row>
    <row r="10" spans="1:16" x14ac:dyDescent="0.25">
      <c r="A10" s="1" t="s">
        <v>8</v>
      </c>
      <c r="B10" s="3">
        <v>924.7</v>
      </c>
      <c r="C10" t="s">
        <v>9</v>
      </c>
    </row>
    <row r="11" spans="1:16" x14ac:dyDescent="0.25">
      <c r="A11" t="str">
        <f>CONCATENATE(L11,M11,N11,O11,P11,Q11,R11,S11,T11,U11,V11,W11,X11,Y11,Z11)</f>
        <v>Top of TAF: 925.7</v>
      </c>
      <c r="L11" t="s">
        <v>10</v>
      </c>
      <c r="M11">
        <f>B10+1</f>
        <v>925.7</v>
      </c>
    </row>
    <row r="12" spans="1:16" x14ac:dyDescent="0.25">
      <c r="A12" t="str">
        <f>CONCATENATE(L12,M12,N12,O12,P12,Q12,R12,S12,T12,U12,V12,W12,X12,Y12,Z12)</f>
        <v>Maximum mean monthly flow: 61.8 cfs</v>
      </c>
      <c r="F12" s="1" t="s">
        <v>13</v>
      </c>
      <c r="G12" s="3" t="s">
        <v>14</v>
      </c>
      <c r="L12" t="s">
        <v>17</v>
      </c>
      <c r="M12" s="3">
        <v>61.8</v>
      </c>
      <c r="N12" t="s">
        <v>18</v>
      </c>
    </row>
    <row r="13" spans="1:16" x14ac:dyDescent="0.25">
      <c r="F13" s="1"/>
      <c r="M13" s="3"/>
    </row>
    <row r="14" spans="1:16" x14ac:dyDescent="0.25">
      <c r="A14" t="str">
        <f>CONCATENATE(L14,M14,N14,O14,P14,Q14,R14,S14,T14,U14,V14,W14,X14,Y14,Z14)</f>
        <v>Minimum flow to be maintained: 123.6 cfs (2x highest monthly average (March) from SteamStats (See Table 1)</v>
      </c>
      <c r="L14" s="6" t="s">
        <v>11</v>
      </c>
      <c r="M14" s="7">
        <f>M12*2</f>
        <v>123.6</v>
      </c>
      <c r="N14" t="s">
        <v>15</v>
      </c>
      <c r="O14" t="str">
        <f>G12</f>
        <v>March</v>
      </c>
      <c r="P14" t="s">
        <v>16</v>
      </c>
    </row>
    <row r="15" spans="1:16" x14ac:dyDescent="0.25">
      <c r="A15" t="str">
        <f>CONCATENATE(L15,M15,N15,O15,P15,Q15,R15,S15,T15,U15,V15,W15,X15,Y15,Z15)</f>
        <v>Maximum pipe size for TAF: 24" CMP or 2" CMP</v>
      </c>
      <c r="L15" t="s">
        <v>59</v>
      </c>
      <c r="M15" s="3">
        <v>24</v>
      </c>
      <c r="N15" t="s">
        <v>80</v>
      </c>
      <c r="O15">
        <f>M15/12</f>
        <v>2</v>
      </c>
      <c r="P15" t="s">
        <v>79</v>
      </c>
    </row>
    <row r="16" spans="1:16" x14ac:dyDescent="0.25">
      <c r="A16" t="s">
        <v>62</v>
      </c>
      <c r="L16" s="6"/>
      <c r="M16" s="7"/>
    </row>
    <row r="17" spans="1:29" x14ac:dyDescent="0.25">
      <c r="A17" s="1" t="s">
        <v>63</v>
      </c>
      <c r="B17" s="3">
        <v>14.38</v>
      </c>
      <c r="C17" t="s">
        <v>18</v>
      </c>
      <c r="L17" s="6"/>
      <c r="M17" s="7"/>
    </row>
    <row r="18" spans="1:29" x14ac:dyDescent="0.25">
      <c r="A18" s="1" t="s">
        <v>64</v>
      </c>
      <c r="B18" s="3">
        <v>13.37</v>
      </c>
      <c r="C18" t="s">
        <v>18</v>
      </c>
      <c r="L18" s="6"/>
      <c r="M18" s="7"/>
    </row>
    <row r="19" spans="1:29" x14ac:dyDescent="0.25">
      <c r="A19" s="1" t="s">
        <v>65</v>
      </c>
      <c r="B19" s="3">
        <f>X25</f>
        <v>12.36</v>
      </c>
      <c r="C19" t="s">
        <v>18</v>
      </c>
      <c r="L19" s="6"/>
      <c r="M19" s="7"/>
    </row>
    <row r="20" spans="1:29" x14ac:dyDescent="0.25">
      <c r="A20" t="s">
        <v>52</v>
      </c>
      <c r="C20" s="3">
        <v>2.1999999999999999E-2</v>
      </c>
      <c r="D20" t="s">
        <v>53</v>
      </c>
      <c r="L20" t="s">
        <v>52</v>
      </c>
    </row>
    <row r="21" spans="1:29" x14ac:dyDescent="0.25">
      <c r="A21" s="1" t="s">
        <v>66</v>
      </c>
      <c r="B21" s="3">
        <v>0.01</v>
      </c>
      <c r="C21" t="s">
        <v>54</v>
      </c>
    </row>
    <row r="22" spans="1:29" x14ac:dyDescent="0.25">
      <c r="A22" s="17" t="s">
        <v>76</v>
      </c>
      <c r="C22" s="3">
        <v>29</v>
      </c>
      <c r="D22" t="s">
        <v>77</v>
      </c>
    </row>
    <row r="24" spans="1:29" x14ac:dyDescent="0.25">
      <c r="A24" s="15" t="s">
        <v>60</v>
      </c>
    </row>
    <row r="25" spans="1:29" x14ac:dyDescent="0.25">
      <c r="A25" t="str">
        <f>CONCATENATE(L25,M25,N25,O25,P25,Q25,R25,S25,T25,U25,V25,W25,X25,Y25,Z25,AA25,AB25,AC25,AD25)</f>
        <v>123.6 cfs/ 13.37 = 9.24, Use: 10 pipes. 123.6 cfs/ 10 = 12.36 cfs; Produces 14.38 cfs (Max.) &amp; 13.37 cfs (Full)</v>
      </c>
      <c r="L25">
        <f>M14</f>
        <v>123.6</v>
      </c>
      <c r="M25" t="s">
        <v>61</v>
      </c>
      <c r="N25">
        <f>B18</f>
        <v>13.37</v>
      </c>
      <c r="O25" t="s">
        <v>67</v>
      </c>
      <c r="P25">
        <f>ROUND(L25/N25, 2)</f>
        <v>9.24</v>
      </c>
      <c r="Q25" t="s">
        <v>68</v>
      </c>
      <c r="R25">
        <f>ROUNDUP(P25, 0)</f>
        <v>10</v>
      </c>
      <c r="S25" t="s">
        <v>69</v>
      </c>
      <c r="T25">
        <f>L25</f>
        <v>123.6</v>
      </c>
      <c r="U25" t="s">
        <v>61</v>
      </c>
      <c r="V25">
        <f>R25</f>
        <v>10</v>
      </c>
      <c r="W25" t="s">
        <v>67</v>
      </c>
      <c r="X25">
        <f>ROUND(T25/V25, 2)</f>
        <v>12.36</v>
      </c>
      <c r="Y25" t="s">
        <v>70</v>
      </c>
      <c r="Z25">
        <f>B17</f>
        <v>14.38</v>
      </c>
      <c r="AA25" t="s">
        <v>72</v>
      </c>
      <c r="AB25">
        <f>B18</f>
        <v>13.37</v>
      </c>
      <c r="AC25" t="s">
        <v>71</v>
      </c>
    </row>
    <row r="26" spans="1:29" x14ac:dyDescent="0.25">
      <c r="A26" t="str">
        <f>CONCATENATE(L26,M26,N26,O26,P26,Q26,R26,S26,T26,U26,V26,W26,X26,Y26,Z26,AA26,AB26,AC26,AD26)</f>
        <v>Qmax: 14.38 x 10 = 143.8 &gt; 123.6 cfs</v>
      </c>
      <c r="E26" s="14" t="str">
        <f>IF(Q26&gt;S26,"PASS","Increase Pipe Size")</f>
        <v>PASS</v>
      </c>
      <c r="F26" s="14"/>
      <c r="G26" s="13"/>
      <c r="L26" t="s">
        <v>73</v>
      </c>
      <c r="M26">
        <f>B17</f>
        <v>14.38</v>
      </c>
      <c r="N26" t="s">
        <v>74</v>
      </c>
      <c r="O26">
        <f>R25</f>
        <v>10</v>
      </c>
      <c r="P26" t="s">
        <v>67</v>
      </c>
      <c r="Q26">
        <f>ROUND(M26*O26,2)</f>
        <v>143.80000000000001</v>
      </c>
      <c r="R26" t="str">
        <f>IF(Q26&gt;S26," &gt; "," &lt; ")</f>
        <v xml:space="preserve"> &gt; </v>
      </c>
      <c r="S26">
        <f>M14</f>
        <v>123.6</v>
      </c>
      <c r="T26" t="s">
        <v>18</v>
      </c>
    </row>
    <row r="27" spans="1:29" x14ac:dyDescent="0.25">
      <c r="A27" t="str">
        <f>CONCATENATE(L27,M27,N27,O27,P27,Q27,R27,S27,T27,U27,V27,W27,X27,Y27,Z27,AA27,AB27,AC27,AD27)</f>
        <v>Qfull: 13.37 x 10 = 133.7 &gt; 123.6 cfs</v>
      </c>
      <c r="E27" s="14" t="str">
        <f>IF(Q27&gt;S27,"PASS","Increase Pipe Size")</f>
        <v>PASS</v>
      </c>
      <c r="F27" s="14"/>
      <c r="G27" s="13"/>
      <c r="L27" t="s">
        <v>75</v>
      </c>
      <c r="M27">
        <f>B18</f>
        <v>13.37</v>
      </c>
      <c r="N27" t="s">
        <v>74</v>
      </c>
      <c r="O27">
        <f>R25</f>
        <v>10</v>
      </c>
      <c r="P27" t="s">
        <v>67</v>
      </c>
      <c r="Q27">
        <f>ROUND(M27*O27,2)</f>
        <v>133.69999999999999</v>
      </c>
      <c r="R27" t="str">
        <f>IF(Q27&gt;S27," &gt; "," &lt; ")</f>
        <v xml:space="preserve"> &gt; </v>
      </c>
      <c r="S27">
        <f>M14</f>
        <v>123.6</v>
      </c>
      <c r="T27" t="s">
        <v>18</v>
      </c>
    </row>
    <row r="28" spans="1:29" x14ac:dyDescent="0.25">
      <c r="A28" t="str">
        <f>CONCATENATE(L28,M28,N28,O28,P28,Q28,R28,S28,T28,U28,V28,W28,X28,Y28,Z28,AA28,AB28,AC28,AD28)</f>
        <v xml:space="preserve">Pipe Width: (2 CMP x 10 pipes (each)) + ( 9 spa. x 0.5 ft. clearance) = 24.5 ft  &lt; 29 ft </v>
      </c>
      <c r="I28" s="14" t="str">
        <f>IF(U28&lt;W28,"PASS","Increase Pipe Size")</f>
        <v>PASS</v>
      </c>
      <c r="J28" s="14"/>
      <c r="L28" t="s">
        <v>78</v>
      </c>
      <c r="M28">
        <f>O15</f>
        <v>2</v>
      </c>
      <c r="N28" s="18" t="s">
        <v>81</v>
      </c>
      <c r="O28">
        <f>R25</f>
        <v>10</v>
      </c>
      <c r="P28" t="s">
        <v>82</v>
      </c>
      <c r="Q28">
        <f>R25-1</f>
        <v>9</v>
      </c>
      <c r="R28" t="s">
        <v>83</v>
      </c>
      <c r="S28">
        <v>0.5</v>
      </c>
      <c r="T28" t="s">
        <v>84</v>
      </c>
      <c r="U28">
        <f>ROUND((M28*O28)+(Q28*S28),2)</f>
        <v>24.5</v>
      </c>
      <c r="V28" t="s">
        <v>85</v>
      </c>
      <c r="W28" t="str">
        <f>IF(U28&gt;X28," &gt; "," &lt; ")</f>
        <v xml:space="preserve"> &lt; </v>
      </c>
      <c r="X28">
        <f>C22</f>
        <v>29</v>
      </c>
      <c r="Y28" t="s">
        <v>85</v>
      </c>
    </row>
    <row r="30" spans="1:29" x14ac:dyDescent="0.25">
      <c r="A30" t="s">
        <v>86</v>
      </c>
      <c r="C30" t="s">
        <v>113</v>
      </c>
      <c r="L30" t="s">
        <v>97</v>
      </c>
      <c r="M30" t="s">
        <v>96</v>
      </c>
    </row>
    <row r="31" spans="1:29" x14ac:dyDescent="0.25">
      <c r="A31" s="19" t="s">
        <v>88</v>
      </c>
      <c r="B31" s="19"/>
      <c r="C31">
        <f>ROUND(((G31*B35)+(2*J31*P31))/(B35+(2*P31)),3)</f>
        <v>4.4999999999999998E-2</v>
      </c>
      <c r="E31" s="19" t="s">
        <v>104</v>
      </c>
      <c r="F31" s="19"/>
      <c r="G31" s="3">
        <v>0.03</v>
      </c>
      <c r="I31" t="s">
        <v>105</v>
      </c>
      <c r="J31" s="3">
        <v>0.08</v>
      </c>
      <c r="L31" s="3">
        <v>0.03</v>
      </c>
      <c r="M31" s="3">
        <v>0.08</v>
      </c>
      <c r="O31" t="s">
        <v>103</v>
      </c>
      <c r="P31">
        <f>ROUND(SQRT(F33^2+P32^2),2)</f>
        <v>6.04</v>
      </c>
      <c r="Q31" t="s">
        <v>77</v>
      </c>
    </row>
    <row r="32" spans="1:29" x14ac:dyDescent="0.25">
      <c r="A32" s="19" t="s">
        <v>89</v>
      </c>
      <c r="B32" s="19"/>
      <c r="C32">
        <f>ROUND((M32+B35)/2*(B10-B37),2)</f>
        <v>92.88</v>
      </c>
      <c r="D32" t="s">
        <v>99</v>
      </c>
      <c r="L32" t="s">
        <v>98</v>
      </c>
      <c r="M32">
        <f>B35+(B36*(B10-B37))*2</f>
        <v>39.800000000000182</v>
      </c>
      <c r="N32" t="s">
        <v>77</v>
      </c>
      <c r="O32" t="s">
        <v>100</v>
      </c>
      <c r="P32">
        <f>(B10-B37)*B36</f>
        <v>5.4000000000000909</v>
      </c>
      <c r="Q32" t="s">
        <v>77</v>
      </c>
      <c r="R32" t="s">
        <v>101</v>
      </c>
    </row>
    <row r="33" spans="1:34" x14ac:dyDescent="0.25">
      <c r="A33" s="19" t="s">
        <v>90</v>
      </c>
      <c r="B33" s="19"/>
      <c r="C33">
        <f>ROUND(B35+(2*SQRT(F33^2+P32^2)),2)</f>
        <v>41.07</v>
      </c>
      <c r="D33" t="s">
        <v>77</v>
      </c>
      <c r="E33" t="s">
        <v>102</v>
      </c>
      <c r="F33">
        <f>B10-B37</f>
        <v>2.7000000000000455</v>
      </c>
      <c r="G33" t="s">
        <v>77</v>
      </c>
    </row>
    <row r="34" spans="1:34" x14ac:dyDescent="0.25">
      <c r="A34" s="19" t="s">
        <v>91</v>
      </c>
      <c r="B34" s="19"/>
      <c r="C34">
        <v>3.8999999999999998E-3</v>
      </c>
    </row>
    <row r="35" spans="1:34" x14ac:dyDescent="0.25">
      <c r="A35" s="1" t="s">
        <v>93</v>
      </c>
      <c r="B35" s="20">
        <v>29</v>
      </c>
      <c r="C35" t="s">
        <v>77</v>
      </c>
    </row>
    <row r="36" spans="1:34" x14ac:dyDescent="0.25">
      <c r="A36" s="1" t="s">
        <v>92</v>
      </c>
      <c r="B36" s="3">
        <v>2</v>
      </c>
      <c r="C36" t="s">
        <v>94</v>
      </c>
    </row>
    <row r="37" spans="1:34" x14ac:dyDescent="0.25">
      <c r="A37" s="1" t="s">
        <v>95</v>
      </c>
      <c r="B37" s="3">
        <v>922</v>
      </c>
    </row>
    <row r="38" spans="1:34" x14ac:dyDescent="0.25">
      <c r="A38" t="str">
        <f>CONCATENATE(L38,M38,N38,O38,P38,Q38,R38,S38,T38,U38,V38,W38,X38,Y38,Z38,AA38,AB38,AC38,AD38,AE38,AF38,AG38,AH38,AI38,AJ38)</f>
        <v>Q = (1.486 / 0.045)(92.88)(92.88 / 41.07)^(2 / 3) x 0.0039^(1 /2) = 330.01 cfs</v>
      </c>
      <c r="L38" t="s">
        <v>106</v>
      </c>
      <c r="M38">
        <v>1.486</v>
      </c>
      <c r="N38" t="s">
        <v>87</v>
      </c>
      <c r="O38">
        <f>C31</f>
        <v>4.4999999999999998E-2</v>
      </c>
      <c r="P38" t="s">
        <v>107</v>
      </c>
      <c r="Q38">
        <f>C32</f>
        <v>92.88</v>
      </c>
      <c r="R38" t="s">
        <v>107</v>
      </c>
      <c r="S38">
        <f>C32</f>
        <v>92.88</v>
      </c>
      <c r="T38" t="s">
        <v>87</v>
      </c>
      <c r="U38">
        <f>C33</f>
        <v>41.07</v>
      </c>
      <c r="V38" t="s">
        <v>108</v>
      </c>
      <c r="W38">
        <v>2</v>
      </c>
      <c r="X38" t="s">
        <v>87</v>
      </c>
      <c r="Y38">
        <v>3</v>
      </c>
      <c r="Z38" t="s">
        <v>109</v>
      </c>
      <c r="AA38">
        <f>C34</f>
        <v>3.8999999999999998E-3</v>
      </c>
      <c r="AB38" t="s">
        <v>110</v>
      </c>
      <c r="AC38">
        <v>1</v>
      </c>
      <c r="AD38" t="s">
        <v>111</v>
      </c>
      <c r="AE38">
        <v>2</v>
      </c>
      <c r="AF38" t="s">
        <v>112</v>
      </c>
      <c r="AG38">
        <f>ROUND((M38/O38)*Q38*(S38/U38)^(2/3)*AA38^(1/2),2)</f>
        <v>330.01</v>
      </c>
      <c r="AH38" t="s">
        <v>18</v>
      </c>
    </row>
    <row r="57" spans="1:7" x14ac:dyDescent="0.25">
      <c r="F57" t="s">
        <v>32</v>
      </c>
      <c r="G57" t="s">
        <v>34</v>
      </c>
    </row>
    <row r="58" spans="1:7" ht="15" customHeight="1" x14ac:dyDescent="0.25">
      <c r="A58" t="s">
        <v>51</v>
      </c>
      <c r="E58" s="10" t="s">
        <v>34</v>
      </c>
      <c r="F58">
        <v>0.03</v>
      </c>
      <c r="G58" t="s">
        <v>33</v>
      </c>
    </row>
    <row r="59" spans="1:7" x14ac:dyDescent="0.25">
      <c r="A59" t="s">
        <v>19</v>
      </c>
      <c r="E59" s="10"/>
      <c r="F59">
        <v>3.5000000000000003E-2</v>
      </c>
      <c r="G59" t="s">
        <v>35</v>
      </c>
    </row>
    <row r="60" spans="1:7" x14ac:dyDescent="0.25">
      <c r="A60" t="s">
        <v>20</v>
      </c>
      <c r="E60" s="10"/>
      <c r="F60">
        <v>0.04</v>
      </c>
      <c r="G60" t="s">
        <v>36</v>
      </c>
    </row>
    <row r="61" spans="1:7" x14ac:dyDescent="0.25">
      <c r="A61" t="s">
        <v>14</v>
      </c>
      <c r="E61" s="11" t="s">
        <v>48</v>
      </c>
      <c r="F61">
        <v>1.0999999999999999E-2</v>
      </c>
      <c r="G61" t="s">
        <v>37</v>
      </c>
    </row>
    <row r="62" spans="1:7" x14ac:dyDescent="0.25">
      <c r="A62" t="s">
        <v>21</v>
      </c>
      <c r="E62" s="11"/>
      <c r="F62">
        <v>1.2999999999999999E-2</v>
      </c>
      <c r="G62" t="s">
        <v>38</v>
      </c>
    </row>
    <row r="63" spans="1:7" x14ac:dyDescent="0.25">
      <c r="A63" t="s">
        <v>22</v>
      </c>
      <c r="E63" s="11"/>
      <c r="F63">
        <v>1.2E-2</v>
      </c>
      <c r="G63" t="s">
        <v>39</v>
      </c>
    </row>
    <row r="64" spans="1:7" x14ac:dyDescent="0.25">
      <c r="A64" t="s">
        <v>23</v>
      </c>
      <c r="E64" s="11"/>
      <c r="F64">
        <v>2.1999999999999999E-2</v>
      </c>
      <c r="G64" t="s">
        <v>40</v>
      </c>
    </row>
    <row r="65" spans="1:7" ht="15" customHeight="1" x14ac:dyDescent="0.25">
      <c r="A65" t="s">
        <v>24</v>
      </c>
      <c r="E65" s="12" t="s">
        <v>49</v>
      </c>
      <c r="F65">
        <v>2.1999999999999999E-2</v>
      </c>
      <c r="G65" t="s">
        <v>33</v>
      </c>
    </row>
    <row r="66" spans="1:7" x14ac:dyDescent="0.25">
      <c r="A66" t="s">
        <v>25</v>
      </c>
      <c r="E66" s="12"/>
      <c r="F66">
        <v>2.5000000000000001E-2</v>
      </c>
      <c r="G66" t="s">
        <v>41</v>
      </c>
    </row>
    <row r="67" spans="1:7" x14ac:dyDescent="0.25">
      <c r="A67" t="s">
        <v>26</v>
      </c>
      <c r="E67" s="12"/>
      <c r="F67">
        <v>0.03</v>
      </c>
      <c r="G67" t="s">
        <v>42</v>
      </c>
    </row>
    <row r="68" spans="1:7" x14ac:dyDescent="0.25">
      <c r="A68" t="s">
        <v>27</v>
      </c>
      <c r="E68" s="12"/>
      <c r="F68">
        <v>3.5000000000000003E-2</v>
      </c>
      <c r="G68" t="s">
        <v>43</v>
      </c>
    </row>
    <row r="69" spans="1:7" x14ac:dyDescent="0.25">
      <c r="A69" t="s">
        <v>28</v>
      </c>
      <c r="E69" s="12" t="s">
        <v>50</v>
      </c>
      <c r="F69">
        <v>3.5000000000000003E-2</v>
      </c>
      <c r="G69" t="s">
        <v>44</v>
      </c>
    </row>
    <row r="70" spans="1:7" x14ac:dyDescent="0.25">
      <c r="A70" t="s">
        <v>29</v>
      </c>
      <c r="E70" s="12"/>
      <c r="F70">
        <v>0.05</v>
      </c>
      <c r="G70" t="s">
        <v>45</v>
      </c>
    </row>
    <row r="71" spans="1:7" x14ac:dyDescent="0.25">
      <c r="E71" s="12"/>
      <c r="F71">
        <v>7.4999999999999997E-2</v>
      </c>
      <c r="G71" t="s">
        <v>46</v>
      </c>
    </row>
    <row r="72" spans="1:7" x14ac:dyDescent="0.25">
      <c r="E72" s="12"/>
      <c r="F72">
        <v>0.15</v>
      </c>
      <c r="G72" t="s">
        <v>47</v>
      </c>
    </row>
  </sheetData>
  <mergeCells count="12">
    <mergeCell ref="I28:J28"/>
    <mergeCell ref="A31:B31"/>
    <mergeCell ref="A32:B32"/>
    <mergeCell ref="A33:B33"/>
    <mergeCell ref="A34:B34"/>
    <mergeCell ref="E31:F31"/>
    <mergeCell ref="E58:E60"/>
    <mergeCell ref="E61:E64"/>
    <mergeCell ref="E65:E68"/>
    <mergeCell ref="E69:E72"/>
    <mergeCell ref="E27:F27"/>
    <mergeCell ref="E26:F26"/>
  </mergeCells>
  <conditionalFormatting sqref="E26:E27">
    <cfRule type="cellIs" dxfId="3" priority="3" operator="equal">
      <formula>"Increase Pipe Size"</formula>
    </cfRule>
    <cfRule type="cellIs" dxfId="2" priority="4" operator="equal">
      <formula>"PASS"</formula>
    </cfRule>
  </conditionalFormatting>
  <conditionalFormatting sqref="I28">
    <cfRule type="cellIs" dxfId="1" priority="1" operator="equal">
      <formula>"Increase Pipe Size"</formula>
    </cfRule>
    <cfRule type="cellIs" dxfId="0" priority="2" operator="equal">
      <formula>"PASS"</formula>
    </cfRule>
  </conditionalFormatting>
  <dataValidations count="2">
    <dataValidation type="list" allowBlank="1" showInputMessage="1" showErrorMessage="1" sqref="G12" xr:uid="{A9F23EC5-5A3B-4FD1-AC8B-EA3D78560CD2}">
      <formula1>$A$59:$A$70</formula1>
    </dataValidation>
    <dataValidation type="list" allowBlank="1" showInputMessage="1" showErrorMessage="1" sqref="C20" xr:uid="{E6BA76B7-2352-4D27-B1B1-DC2A4C82B9C5}">
      <formula1>$F$61:$F$64</formula1>
    </dataValidation>
  </dataValidations>
  <pageMargins left="0.25" right="0.25" top="0.75" bottom="0.75" header="0.3" footer="0.3"/>
  <pageSetup scale="87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34C0A-8A5D-489F-9D93-4DD99E6CC461}">
  <sheetPr>
    <pageSetUpPr fitToPage="1"/>
  </sheetPr>
  <dimension ref="A1:K42"/>
  <sheetViews>
    <sheetView tabSelected="1" workbookViewId="0">
      <selection activeCell="N54" sqref="N54"/>
    </sheetView>
  </sheetViews>
  <sheetFormatPr defaultRowHeight="15" x14ac:dyDescent="0.25"/>
  <cols>
    <col min="11" max="11" width="10.42578125" bestFit="1" customWidth="1"/>
  </cols>
  <sheetData>
    <row r="1" spans="1:11" x14ac:dyDescent="0.25">
      <c r="H1" t="s">
        <v>3</v>
      </c>
      <c r="I1" s="3" t="s">
        <v>114</v>
      </c>
      <c r="J1" t="s">
        <v>4</v>
      </c>
      <c r="K1" s="21">
        <v>45649</v>
      </c>
    </row>
    <row r="3" spans="1:11" x14ac:dyDescent="0.25">
      <c r="H3" t="s">
        <v>5</v>
      </c>
      <c r="I3" s="3"/>
      <c r="J3" t="s">
        <v>4</v>
      </c>
      <c r="K3" s="3"/>
    </row>
    <row r="4" spans="1:11" x14ac:dyDescent="0.25">
      <c r="A4" s="2" t="s">
        <v>1</v>
      </c>
      <c r="B4" t="str">
        <f>Sheet1!B4</f>
        <v>HOL-179-3.89</v>
      </c>
    </row>
    <row r="5" spans="1:11" x14ac:dyDescent="0.25">
      <c r="A5" s="2" t="s">
        <v>0</v>
      </c>
      <c r="B5">
        <f>Sheet1!B5</f>
        <v>111085</v>
      </c>
    </row>
    <row r="6" spans="1:11" x14ac:dyDescent="0.25">
      <c r="A6" s="2" t="s">
        <v>2</v>
      </c>
      <c r="B6" t="s">
        <v>6</v>
      </c>
      <c r="H6" s="1" t="s">
        <v>30</v>
      </c>
      <c r="I6">
        <v>2</v>
      </c>
      <c r="J6" s="8" t="s">
        <v>31</v>
      </c>
      <c r="K6">
        <v>2</v>
      </c>
    </row>
    <row r="7" spans="1:1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5">
      <c r="A8" s="9" t="s">
        <v>56</v>
      </c>
    </row>
    <row r="32" spans="1:1" x14ac:dyDescent="0.25">
      <c r="A32" s="9" t="s">
        <v>57</v>
      </c>
    </row>
    <row r="42" spans="1:1" x14ac:dyDescent="0.25">
      <c r="A42" s="9" t="s">
        <v>58</v>
      </c>
    </row>
  </sheetData>
  <pageMargins left="0.7" right="0.7" top="0.75" bottom="0.75" header="0.3" footer="0.3"/>
  <pageSetup scale="6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E D A A B Q S w M E F A A C A A g A I l W X W f / c m o K j A A A A 9 g A A A B I A H A B D b 2 5 m a W c v U G F j a 2 F n Z S 5 4 b W w g o h g A K K A U A A A A A A A A A A A A A A A A A A A A A A A A A A A A h Y + 9 D o I w F I V f h X S n P 7 A Q c q m D q y Q m R O P a Q I V G u B h a L O / m 4 C P 5 C m I U d X M 8 3 / m G c + 7 X G 6 y m r g 0 u e r C m x 4 w I y k m g s e w r g 3 V G R n c M E 7 K S s F X l S d U 6 m G W 0 6 W S r j D T O n V P G v P f U x 7 Q f a h Z x L t g h 3 x R l o z t F P r L 5 L 4 c G r V N Y a i J h / x o j I y r i h I q E U w 5 s g Z A b / A r R v P f Z / k B Y j 6 0 b B y 0 1 h r s C 2 B K B v T / I B 1 B L A w Q U A A I A C A A i V Z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l W X W Y h z p E m c A A A A 1 g A A A B M A H A B G b 3 J t d W x h c y 9 T Z W N 0 a W 9 u M S 5 t I K I Y A C i g F A A A A A A A A A A A A A A A A A A A A A A A A A A A A G 2 N P Q u D M B C G 9 0 D + Q 0 g X B R G c x S l 0 7 a L Q Q R y i v V Y x 5 k p y g k X 8 7 4 3 N 2 n c 5 e D + e 8 z D Q h F b U 8 R Y l Z 5 z 5 U T t 4 i E b 3 B g p R C Q P E m Q i q c X U D B O e 6 D W B y t T o H l u 7 o 5 h 5 x T t K 9 v e k F K h m X s j t a h Z Z C p c s i 4 C L V q O 3 r h H / e I A P p V 8 0 b p 6 1 / o l s U m n W x Z + i T + C 3 b d x n d Q m a C Q i I I N j q O l L P J / s W W X 1 B L A Q I t A B Q A A g A I A C J V l 1 n / 3 J q C o w A A A P Y A A A A S A A A A A A A A A A A A A A A A A A A A A A B D b 2 5 m a W c v U G F j a 2 F n Z S 5 4 b W x Q S w E C L Q A U A A I A C A A i V Z d Z D 8 r p q 6 Q A A A D p A A A A E w A A A A A A A A A A A A A A A A D v A A A A W 0 N v b n R l b n R f V H l w Z X N d L n h t b F B L A Q I t A B Q A A g A I A C J V l 1 m I c 6 R J n A A A A N Y A A A A T A A A A A A A A A A A A A A A A A O A B A A B G b 3 J t d W x h c y 9 T Z W N 0 a W 9 u M S 5 t U E s F B g A A A A A D A A M A w g A A A M k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4 I A A A A A A A A D A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0 O D I 2 M z Z j M S 0 x Z D V i L T Q 2 M z U t O T J l Y y 1 j N T Y 5 M G E z M D V m M D I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h Y m x l M V 8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I z V D E 1 O j Q x O j A 0 L j A x N j k 1 O D F a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x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b G U x L 0 F 1 d G 9 S Z W 1 v d m V k Q 2 9 s d W 1 u c z E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d B 2 q K 2 O 9 V k m + W q L Y K x v b k A A A A A A C A A A A A A A D Z g A A w A A A A B A A A A D D b Q G k l 6 u e w 5 v D / 3 a A k L N o A A A A A A S A A A C g A A A A E A A A A C 1 w 2 7 U 1 6 r K G q F u I 8 Q G T o S d Q A A A A P k A U G / Y 9 b j 2 c 6 N V H i M U U 6 c Q v 5 9 s c m y o w C j 4 Z H i 2 m 8 K o / S H q o X J z 3 M 4 6 y 6 + f 9 e W 5 G Y 9 J 2 0 Q m e 9 t w d 7 Z J D C o P p 9 9 k h m 7 p 4 8 l t x 2 6 W r p + W 9 Y a w U A A A A d v N y V A 9 l o n X 0 B n j l v K M U e y M u t H Q = < / D a t a M a s h u p > 
</file>

<file path=customXml/itemProps1.xml><?xml version="1.0" encoding="utf-8"?>
<ds:datastoreItem xmlns:ds="http://schemas.openxmlformats.org/officeDocument/2006/customXml" ds:itemID="{6061BF1F-78BD-47FF-8B90-A78E5872046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Table1</vt:lpstr>
      <vt:lpstr>Sheet1</vt:lpstr>
      <vt:lpstr>Sheet2</vt:lpstr>
      <vt:lpstr>Sheet1!Print_Area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Clark, Michael</dc:creator>
  <cp:lastModifiedBy>Clark, Michael</cp:lastModifiedBy>
  <cp:lastPrinted>2024-12-23T20:44:38Z</cp:lastPrinted>
  <dcterms:created xsi:type="dcterms:W3CDTF">2024-12-23T14:50:36Z</dcterms:created>
  <dcterms:modified xsi:type="dcterms:W3CDTF">2024-12-23T20:58:41Z</dcterms:modified>
</cp:coreProperties>
</file>